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tabRatio="891" activeTab="0"/>
  </bookViews>
  <sheets>
    <sheet name="Tui&amp;Ins" sheetId="1" r:id="rId1"/>
  </sheets>
  <externalReferences>
    <externalReference r:id="rId4"/>
    <externalReference r:id="rId5"/>
  </externalReferences>
  <definedNames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<sst xmlns="http://schemas.openxmlformats.org/spreadsheetml/2006/main" count="57" uniqueCount="32">
  <si>
    <t>Tuition Assistance</t>
  </si>
  <si>
    <t>Health Insurance</t>
  </si>
  <si>
    <t>Calendar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</si>
  <si>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</si>
  <si>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</si>
  <si>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</si>
  <si>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</si>
  <si>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</si>
  <si>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</si>
  <si>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</si>
  <si>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</si>
  <si>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</si>
  <si>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</si>
  <si>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</si>
  <si>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</si>
  <si>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Tuition</t>
  </si>
  <si>
    <t>Insurance</t>
  </si>
  <si>
    <t>2021</t>
  </si>
  <si>
    <t>Over a Year</t>
  </si>
  <si>
    <t>Over Summer</t>
  </si>
  <si>
    <t>2022</t>
  </si>
  <si>
    <t>International Fees</t>
  </si>
  <si>
    <t>Fall</t>
  </si>
  <si>
    <t>Spring</t>
  </si>
  <si>
    <t>Summer</t>
  </si>
  <si>
    <t>Use amount below for GRAs rate</t>
  </si>
  <si>
    <t>2023</t>
  </si>
  <si>
    <t>DATES</t>
  </si>
  <si>
    <t>Over 1 Semester</t>
  </si>
  <si>
    <t>As of Feb 2024</t>
  </si>
  <si>
    <t>Full time (100%) GRA hours</t>
  </si>
  <si>
    <t>Part-time (50%) GRA hours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</si>
</sst>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[$-409]dddd\,\ mmmm\ dd\,\ yyyy"/>
    <numFmt numFmtId="167" formatCode="&quot;$&quot;#,##0.00"/>
    <numFmt numFmtId="168" formatCode="#,##0.000"/>
    <numFmt numFmtId="169" formatCode="&quot;$&quot;#,##0.000"/>
    <numFmt numFmtId="170" formatCode="#,##0.0"/>
    <numFmt numFmtId="171" formatCode="[$-409]h:mm:ss\ AM/PM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;[Red]&quot;$&quot;#,##0.00"/>
    <numFmt numFmtId="175" formatCode="&quot;$&quot;#,##0.0;[Red]&quot;$&quot;#,##0.0"/>
    <numFmt numFmtId="176" formatCode="&quot;$&quot;#,##0;[Red]&quot;$&quot;#,##0"/>
    <numFmt numFmtId="177" formatCode="&quot;$&quot;#,##0.0_);[Red]\(&quot;$&quot;#,##0.0\)"/>
    <numFmt numFmtId="178" formatCode="_(&quot;$&quot;* #,##0.00_);_(&quot;$&quot;* \(#,##0.00\);_(&quot;$&quot;* &quot;-&quot;_);_(@_)"/>
    <numFmt numFmtId="179" formatCode="0.0%"/>
    <numFmt numFmtId="180" formatCode="_(&quot;$&quot;* #,##0.0_);_(&quot;$&quot;* \(#,##0.0\);_(&quot;$&quot;* &quot;-&quot;?_);_(@_)"/>
    <numFmt numFmtId="181" formatCode="_(&quot;$&quot;* #,##0.0_);_(&quot;$&quot;* \(#,##0.0\);_(&quot;$&quot;* &quot;-&quot;_);_(@_)"/>
    <numFmt numFmtId="182" formatCode="&quot;$&quot;#,##0.0"/>
    <numFmt numFmtId="183" formatCode="_(* #,##0.0_);_(* \(#,##0.0\);_(* &quot;-&quot;?_);_(@_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[$-409]dddd\,\ mmmm\ d\,\ yyyy"/>
    <numFmt numFmtId="190" formatCode="_(* #,##0.0_);_(* \(#,##0.0\);_(* &quot;-&quot;_);_(@_)"/>
    <numFmt numFmtId="191" formatCode="_(* #,##0.00_);_(* \(#,##0.00\);_(* &quot;-&quot;_);_(@_)"/>
    <numFmt numFmtId="192" formatCode="&quot;$&quot;#,##0.0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30"/>
      <name val="Cambria"/>
      <family val="1"/>
    </font>
    <font>
      <b/>
      <i/>
      <sz val="10"/>
      <color indexed="14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30"/>
      <name val="Cambria"/>
      <family val="1"/>
    </font>
    <font>
      <b/>
      <i/>
      <sz val="11"/>
      <color indexed="14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36"/>
      <name val="Arial"/>
      <family val="2"/>
    </font>
    <font>
      <b/>
      <i/>
      <sz val="11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0033CC"/>
      <name val="Cambria"/>
      <family val="1"/>
    </font>
    <font>
      <b/>
      <i/>
      <sz val="10"/>
      <color rgb="FFFF0066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33CC"/>
      <name val="Cambria"/>
      <family val="1"/>
    </font>
    <font>
      <b/>
      <i/>
      <sz val="11"/>
      <color rgb="FFFF0066"/>
      <name val="Cambria"/>
      <family val="1"/>
    </font>
    <font>
      <i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7"/>
      <name val="Arial"/>
      <family val="2"/>
    </font>
    <font>
      <b/>
      <i/>
      <sz val="11"/>
      <color theme="1"/>
      <name val="Cambria"/>
      <family val="1"/>
    </font>
    <font>
      <b/>
      <sz val="11"/>
      <color rgb="FF0072C8"/>
      <name val="Cambria"/>
      <family val="1"/>
    </font>
    <font>
      <b/>
      <i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4" fillId="0" borderId="0" applyFill="0" applyBorder="0" applyProtection="0">
      <alignment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2" fillId="0" borderId="0" xfId="62" applyFont="1">
      <alignment/>
      <protection/>
    </xf>
    <xf numFmtId="0" fontId="63" fillId="0" borderId="0" xfId="62" applyFont="1" applyAlignment="1">
      <alignment horizontal="center"/>
      <protection/>
    </xf>
    <xf numFmtId="0" fontId="63" fillId="0" borderId="0" xfId="62" applyFont="1">
      <alignment/>
      <protection/>
    </xf>
    <xf numFmtId="0" fontId="4" fillId="0" borderId="0" xfId="62">
      <alignment/>
      <protection/>
    </xf>
    <xf numFmtId="0" fontId="64" fillId="0" borderId="0" xfId="62" applyFont="1" applyBorder="1" applyAlignment="1">
      <alignment wrapText="1"/>
      <protection/>
    </xf>
    <xf numFmtId="0" fontId="64" fillId="0" borderId="0" xfId="62" applyFont="1" applyBorder="1" applyAlignment="1">
      <alignment horizontal="center" wrapText="1"/>
      <protection/>
    </xf>
    <xf numFmtId="0" fontId="63" fillId="0" borderId="0" xfId="62" applyFont="1" applyAlignment="1">
      <alignment wrapText="1"/>
      <protection/>
    </xf>
    <xf numFmtId="0" fontId="65" fillId="0" borderId="10" xfId="62" applyFont="1" applyBorder="1" applyAlignment="1">
      <alignment wrapText="1"/>
      <protection/>
    </xf>
    <xf numFmtId="165" fontId="65" fillId="0" borderId="11" xfId="62" applyNumberFormat="1" applyFont="1" applyBorder="1" applyAlignment="1">
      <alignment horizontal="center"/>
      <protection/>
    </xf>
    <xf numFmtId="0" fontId="66" fillId="0" borderId="10" xfId="62" applyFont="1" applyBorder="1" applyAlignment="1">
      <alignment wrapText="1"/>
      <protection/>
    </xf>
    <xf numFmtId="165" fontId="66" fillId="0" borderId="11" xfId="62" applyNumberFormat="1" applyFont="1" applyBorder="1" applyAlignment="1">
      <alignment horizontal="center"/>
      <protection/>
    </xf>
    <xf numFmtId="165" fontId="66" fillId="0" borderId="12" xfId="62" applyNumberFormat="1" applyFont="1" applyBorder="1" applyAlignment="1">
      <alignment horizontal="center"/>
      <protection/>
    </xf>
    <xf numFmtId="165" fontId="66" fillId="0" borderId="13" xfId="62" applyNumberFormat="1" applyFont="1" applyBorder="1" applyAlignment="1">
      <alignment horizontal="center"/>
      <protection/>
    </xf>
    <xf numFmtId="0" fontId="67" fillId="0" borderId="0" xfId="62" applyFont="1">
      <alignment/>
      <protection/>
    </xf>
    <xf numFmtId="0" fontId="68" fillId="0" borderId="0" xfId="62" applyFont="1" applyAlignment="1">
      <alignment wrapText="1"/>
      <protection/>
    </xf>
    <xf numFmtId="0" fontId="69" fillId="0" borderId="0" xfId="62" applyFont="1" applyAlignment="1">
      <alignment wrapText="1"/>
      <protection/>
    </xf>
    <xf numFmtId="0" fontId="70" fillId="0" borderId="14" xfId="62" applyFont="1" applyBorder="1" applyAlignment="1">
      <alignment horizontal="center"/>
      <protection/>
    </xf>
    <xf numFmtId="0" fontId="70" fillId="0" borderId="15" xfId="62" applyFont="1" applyBorder="1" applyAlignment="1">
      <alignment horizontal="center"/>
      <protection/>
    </xf>
    <xf numFmtId="0" fontId="70" fillId="0" borderId="16" xfId="62" applyFont="1" applyBorder="1" applyAlignment="1">
      <alignment horizontal="center"/>
      <protection/>
    </xf>
    <xf numFmtId="0" fontId="70" fillId="0" borderId="17" xfId="62" applyFont="1" applyBorder="1" applyAlignment="1">
      <alignment horizontal="center"/>
      <protection/>
    </xf>
    <xf numFmtId="49" fontId="65" fillId="0" borderId="18" xfId="62" applyNumberFormat="1" applyFont="1" applyBorder="1" applyAlignment="1">
      <alignment horizontal="right"/>
      <protection/>
    </xf>
    <xf numFmtId="165" fontId="71" fillId="0" borderId="17" xfId="62" applyNumberFormat="1" applyFont="1" applyBorder="1" applyAlignment="1">
      <alignment horizontal="center"/>
      <protection/>
    </xf>
    <xf numFmtId="49" fontId="66" fillId="0" borderId="18" xfId="62" applyNumberFormat="1" applyFont="1" applyBorder="1" applyAlignment="1">
      <alignment horizontal="right"/>
      <protection/>
    </xf>
    <xf numFmtId="165" fontId="72" fillId="0" borderId="17" xfId="62" applyNumberFormat="1" applyFont="1" applyBorder="1" applyAlignment="1">
      <alignment horizontal="center"/>
      <protection/>
    </xf>
    <xf numFmtId="0" fontId="73" fillId="0" borderId="0" xfId="62" applyFont="1">
      <alignment/>
      <protection/>
    </xf>
    <xf numFmtId="49" fontId="74" fillId="0" borderId="19" xfId="62" applyNumberFormat="1" applyFont="1" applyBorder="1">
      <alignment/>
      <protection/>
    </xf>
    <xf numFmtId="0" fontId="70" fillId="0" borderId="0" xfId="62" applyFont="1" applyBorder="1" applyAlignment="1">
      <alignment horizontal="center"/>
      <protection/>
    </xf>
    <xf numFmtId="165" fontId="65" fillId="0" borderId="17" xfId="62" applyNumberFormat="1" applyFont="1" applyBorder="1" applyAlignment="1">
      <alignment horizontal="center"/>
      <protection/>
    </xf>
    <xf numFmtId="1" fontId="4" fillId="0" borderId="0" xfId="62" applyNumberFormat="1">
      <alignment/>
      <protection/>
    </xf>
    <xf numFmtId="0" fontId="75" fillId="0" borderId="17" xfId="62" applyFont="1" applyBorder="1">
      <alignment/>
      <protection/>
    </xf>
    <xf numFmtId="6" fontId="75" fillId="0" borderId="17" xfId="46" applyNumberFormat="1" applyFont="1" applyBorder="1" applyAlignment="1">
      <alignment/>
    </xf>
    <xf numFmtId="6" fontId="8" fillId="0" borderId="17" xfId="62" applyNumberFormat="1" applyFont="1" applyBorder="1">
      <alignment/>
      <protection/>
    </xf>
    <xf numFmtId="165" fontId="71" fillId="0" borderId="17" xfId="62" applyNumberFormat="1" applyFont="1" applyFill="1" applyBorder="1" applyAlignment="1">
      <alignment horizontal="center"/>
      <protection/>
    </xf>
    <xf numFmtId="165" fontId="72" fillId="0" borderId="17" xfId="62" applyNumberFormat="1" applyFont="1" applyFill="1" applyBorder="1" applyAlignment="1">
      <alignment horizontal="center"/>
      <protection/>
    </xf>
    <xf numFmtId="0" fontId="70" fillId="0" borderId="0" xfId="62" applyFont="1" applyFill="1" applyBorder="1" applyAlignment="1">
      <alignment horizontal="center"/>
      <protection/>
    </xf>
    <xf numFmtId="165" fontId="70" fillId="33" borderId="17" xfId="62" applyNumberFormat="1" applyFont="1" applyFill="1" applyBorder="1" applyAlignment="1">
      <alignment horizontal="center"/>
      <protection/>
    </xf>
    <xf numFmtId="165" fontId="76" fillId="33" borderId="17" xfId="62" applyNumberFormat="1" applyFont="1" applyFill="1" applyBorder="1" applyAlignment="1">
      <alignment horizontal="center"/>
      <protection/>
    </xf>
    <xf numFmtId="167" fontId="70" fillId="33" borderId="17" xfId="62" applyNumberFormat="1" applyFont="1" applyFill="1" applyBorder="1" applyAlignment="1">
      <alignment horizontal="center"/>
      <protection/>
    </xf>
    <xf numFmtId="165" fontId="72" fillId="0" borderId="0" xfId="62" applyNumberFormat="1" applyFont="1" applyFill="1" applyBorder="1" applyAlignment="1">
      <alignment horizontal="center"/>
      <protection/>
    </xf>
    <xf numFmtId="49" fontId="74" fillId="0" borderId="19" xfId="62" applyNumberFormat="1" applyFont="1" applyFill="1" applyBorder="1" applyAlignment="1">
      <alignment horizontal="left"/>
      <protection/>
    </xf>
    <xf numFmtId="0" fontId="74" fillId="0" borderId="19" xfId="62" applyFont="1" applyFill="1" applyBorder="1" applyAlignment="1">
      <alignment horizontal="left"/>
      <protection/>
    </xf>
    <xf numFmtId="0" fontId="70" fillId="0" borderId="0" xfId="62" applyFont="1" applyAlignment="1">
      <alignment horizontal="center"/>
      <protection/>
    </xf>
    <xf numFmtId="0" fontId="70" fillId="0" borderId="0" xfId="62" applyFont="1" applyBorder="1" applyAlignment="1">
      <alignment horizontal="center"/>
      <protection/>
    </xf>
    <xf numFmtId="14" fontId="64" fillId="0" borderId="17" xfId="62" applyNumberFormat="1" applyFont="1" applyBorder="1" applyAlignment="1">
      <alignment horizontal="center" wrapText="1"/>
      <protection/>
    </xf>
    <xf numFmtId="14" fontId="70" fillId="0" borderId="17" xfId="62" applyNumberFormat="1" applyFont="1" applyBorder="1" applyAlignment="1">
      <alignment horizontal="center"/>
      <protection/>
    </xf>
    <xf numFmtId="14" fontId="64" fillId="0" borderId="11" xfId="62" applyNumberFormat="1" applyFont="1" applyBorder="1" applyAlignment="1">
      <alignment horizontal="center" wrapText="1"/>
      <protection/>
    </xf>
    <xf numFmtId="165" fontId="66" fillId="0" borderId="17" xfId="62" applyNumberFormat="1" applyFont="1" applyBorder="1" applyAlignment="1">
      <alignment horizontal="center"/>
      <protection/>
    </xf>
    <xf numFmtId="165" fontId="41" fillId="33" borderId="17" xfId="62" applyNumberFormat="1" applyFont="1" applyFill="1" applyBorder="1" applyAlignment="1">
      <alignment horizontal="center"/>
      <protection/>
    </xf>
    <xf numFmtId="165" fontId="42" fillId="33" borderId="17" xfId="62" applyNumberFormat="1" applyFont="1" applyFill="1" applyBorder="1" applyAlignment="1">
      <alignment horizontal="center"/>
      <protection/>
    </xf>
    <xf numFmtId="165" fontId="77" fillId="0" borderId="17" xfId="62" applyNumberFormat="1" applyFont="1" applyFill="1" applyBorder="1" applyAlignment="1">
      <alignment horizontal="center"/>
      <protection/>
    </xf>
    <xf numFmtId="165" fontId="78" fillId="0" borderId="17" xfId="62" applyNumberFormat="1" applyFont="1" applyFill="1" applyBorder="1" applyAlignment="1">
      <alignment horizontal="center"/>
      <protection/>
    </xf>
    <xf numFmtId="167" fontId="72" fillId="0" borderId="17" xfId="62" applyNumberFormat="1" applyFont="1" applyBorder="1" applyAlignment="1">
      <alignment horizontal="center"/>
      <protection/>
    </xf>
    <xf numFmtId="167" fontId="73" fillId="0" borderId="0" xfId="62" applyNumberFormat="1" applyFont="1">
      <alignment/>
      <protection/>
    </xf>
    <xf numFmtId="167" fontId="63" fillId="0" borderId="0" xfId="62" applyNumberFormat="1" applyFont="1">
      <alignment/>
      <protection/>
    </xf>
    <xf numFmtId="0" fontId="70" fillId="0" borderId="0" xfId="62" applyFont="1" applyAlignment="1">
      <alignment horizontal="center"/>
      <protection/>
    </xf>
    <xf numFmtId="0" fontId="70" fillId="0" borderId="0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 wrapText="1"/>
      <protection/>
    </xf>
    <xf numFmtId="0" fontId="68" fillId="0" borderId="20" xfId="62" applyFont="1" applyBorder="1">
      <alignment/>
      <protection/>
    </xf>
    <xf numFmtId="0" fontId="63" fillId="0" borderId="20" xfId="62" applyFont="1" applyBorder="1" applyAlignment="1">
      <alignment horizontal="center"/>
      <protection/>
    </xf>
    <xf numFmtId="0" fontId="4" fillId="0" borderId="20" xfId="62" applyBorder="1">
      <alignment/>
      <protection/>
    </xf>
    <xf numFmtId="14" fontId="44" fillId="0" borderId="17" xfId="62" applyNumberFormat="1" applyFont="1" applyBorder="1" applyAlignment="1">
      <alignment horizontal="center"/>
      <protection/>
    </xf>
    <xf numFmtId="14" fontId="41" fillId="0" borderId="17" xfId="62" applyNumberFormat="1" applyFont="1" applyBorder="1" applyAlignment="1">
      <alignment horizontal="center"/>
      <protection/>
    </xf>
    <xf numFmtId="165" fontId="71" fillId="34" borderId="17" xfId="62" applyNumberFormat="1" applyFont="1" applyFill="1" applyBorder="1" applyAlignment="1">
      <alignment horizontal="center"/>
      <protection/>
    </xf>
    <xf numFmtId="165" fontId="72" fillId="34" borderId="17" xfId="62" applyNumberFormat="1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nya\Proposals%20&amp;%20Awards\2006\College%20of%20Science\Dr.%20Magnuson%20(06-352)\NOAA%20Climate%20Research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ya.cole\Downloads\Tuition-Ins%202017%20-%20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352"/>
      <sheetName val="Travel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i&amp;I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86" zoomScaleNormal="86" zoomScalePageLayoutView="0" workbookViewId="0" topLeftCell="A1">
      <selection activeCell="P26" sqref="P26"/>
    </sheetView>
  </sheetViews>
  <sheetFormatPr defaultColWidth="10.8515625" defaultRowHeight="12.75"/>
  <cols>
    <col min="1" max="1" width="17.00390625" style="4" customWidth="1"/>
    <col min="2" max="2" width="12.8515625" style="4" bestFit="1" customWidth="1"/>
    <col min="3" max="11" width="12.28125" style="4" bestFit="1" customWidth="1"/>
    <col min="12" max="12" width="12.28125" style="4" customWidth="1"/>
    <col min="13" max="13" width="12.28125" style="4" bestFit="1" customWidth="1"/>
    <col min="14" max="14" width="14.28125" style="4" customWidth="1"/>
    <col min="15" max="15" width="10.8515625" style="4" customWidth="1"/>
    <col min="16" max="16" width="13.7109375" style="4" customWidth="1"/>
    <col min="17" max="17" width="5.421875" style="4" customWidth="1"/>
    <col min="18" max="18" width="16.421875" style="4" customWidth="1"/>
    <col min="19" max="16384" width="10.8515625" style="4" customWidth="1"/>
  </cols>
  <sheetData>
    <row r="1" spans="1:16" ht="18" customHeight="1">
      <c r="A1" s="1" t="s">
        <v>29</v>
      </c>
      <c r="B1" s="2"/>
      <c r="C1" s="42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56" t="s">
        <v>21</v>
      </c>
      <c r="O1" s="56"/>
      <c r="P1" s="56"/>
    </row>
    <row r="2" spans="1:16" ht="22.5" customHeight="1">
      <c r="A2" s="1"/>
      <c r="B2" s="2"/>
      <c r="C2" s="45">
        <v>45170</v>
      </c>
      <c r="D2" s="45">
        <f aca="true" t="shared" si="0" ref="D2:K2">C3+1</f>
        <v>45536</v>
      </c>
      <c r="E2" s="45">
        <f t="shared" si="0"/>
        <v>45901</v>
      </c>
      <c r="F2" s="45">
        <f t="shared" si="0"/>
        <v>46266</v>
      </c>
      <c r="G2" s="45">
        <f t="shared" si="0"/>
        <v>46631</v>
      </c>
      <c r="H2" s="45">
        <f t="shared" si="0"/>
        <v>46997</v>
      </c>
      <c r="I2" s="45">
        <f t="shared" si="0"/>
        <v>47362</v>
      </c>
      <c r="J2" s="45">
        <f t="shared" si="0"/>
        <v>47727</v>
      </c>
      <c r="K2" s="45">
        <f t="shared" si="0"/>
        <v>48092</v>
      </c>
      <c r="L2" s="62">
        <f>K3+1</f>
        <v>48458</v>
      </c>
      <c r="M2" s="2"/>
      <c r="N2" s="43"/>
      <c r="O2" s="43"/>
      <c r="P2" s="43"/>
    </row>
    <row r="3" spans="1:20" ht="26.25" customHeight="1">
      <c r="A3" s="5"/>
      <c r="B3" s="6"/>
      <c r="C3" s="44">
        <f>C2+365</f>
        <v>45535</v>
      </c>
      <c r="D3" s="44">
        <f>D2+364</f>
        <v>45900</v>
      </c>
      <c r="E3" s="44">
        <f>E2+364</f>
        <v>46265</v>
      </c>
      <c r="F3" s="44">
        <f>F2+364</f>
        <v>46630</v>
      </c>
      <c r="G3" s="46">
        <f>G2+365</f>
        <v>46996</v>
      </c>
      <c r="H3" s="46">
        <f>H2+364</f>
        <v>47361</v>
      </c>
      <c r="I3" s="46">
        <f>I2+364</f>
        <v>47726</v>
      </c>
      <c r="J3" s="46">
        <f>J2+364</f>
        <v>48091</v>
      </c>
      <c r="K3" s="44">
        <f>K2+365</f>
        <v>48457</v>
      </c>
      <c r="L3" s="61">
        <f>L2+364</f>
        <v>48822</v>
      </c>
      <c r="M3" s="7"/>
      <c r="N3" s="30" t="s">
        <v>22</v>
      </c>
      <c r="O3" s="31">
        <v>150</v>
      </c>
      <c r="P3" s="57" t="s">
        <v>25</v>
      </c>
      <c r="R3" s="58"/>
      <c r="S3" s="59" t="s">
        <v>30</v>
      </c>
      <c r="T3" s="60"/>
    </row>
    <row r="4" spans="1:19" ht="14.25">
      <c r="A4" s="8" t="s">
        <v>0</v>
      </c>
      <c r="B4" s="9"/>
      <c r="C4" s="28">
        <f>SUM(5529*3)/12</f>
        <v>1382.25</v>
      </c>
      <c r="D4" s="28">
        <f aca="true" t="shared" si="1" ref="D4:J4">C4*1.03</f>
        <v>1423.7175</v>
      </c>
      <c r="E4" s="28">
        <f t="shared" si="1"/>
        <v>1466.429025</v>
      </c>
      <c r="F4" s="28">
        <f t="shared" si="1"/>
        <v>1510.42189575</v>
      </c>
      <c r="G4" s="28">
        <f t="shared" si="1"/>
        <v>1555.7345526225</v>
      </c>
      <c r="H4" s="28">
        <f t="shared" si="1"/>
        <v>1602.406589201175</v>
      </c>
      <c r="I4" s="9">
        <f t="shared" si="1"/>
        <v>1650.4787868772103</v>
      </c>
      <c r="J4" s="9">
        <f t="shared" si="1"/>
        <v>1699.9931504835267</v>
      </c>
      <c r="K4" s="28">
        <f>J4*1.03</f>
        <v>1750.9929449980325</v>
      </c>
      <c r="L4" s="28">
        <f>K4*1.03</f>
        <v>1803.5227333479736</v>
      </c>
      <c r="M4" s="3"/>
      <c r="N4" s="30" t="s">
        <v>23</v>
      </c>
      <c r="O4" s="31">
        <v>150</v>
      </c>
      <c r="P4" s="57"/>
      <c r="R4" s="4" t="s">
        <v>18</v>
      </c>
      <c r="S4" s="4">
        <v>1040</v>
      </c>
    </row>
    <row r="5" spans="1:19" ht="18">
      <c r="A5" s="10" t="s">
        <v>1</v>
      </c>
      <c r="B5" s="11"/>
      <c r="C5" s="12">
        <v>116</v>
      </c>
      <c r="D5" s="12">
        <f aca="true" t="shared" si="2" ref="D5:J5">C5*1.03</f>
        <v>119.48</v>
      </c>
      <c r="E5" s="12">
        <f t="shared" si="2"/>
        <v>123.0644</v>
      </c>
      <c r="F5" s="12">
        <f t="shared" si="2"/>
        <v>126.75633200000001</v>
      </c>
      <c r="G5" s="12">
        <f t="shared" si="2"/>
        <v>130.55902196000002</v>
      </c>
      <c r="H5" s="12">
        <f t="shared" si="2"/>
        <v>134.47579261880003</v>
      </c>
      <c r="I5" s="13">
        <f t="shared" si="2"/>
        <v>138.51006639736403</v>
      </c>
      <c r="J5" s="13">
        <f t="shared" si="2"/>
        <v>142.66536838928496</v>
      </c>
      <c r="K5" s="47">
        <f>J5*1.03</f>
        <v>146.94532944096352</v>
      </c>
      <c r="L5" s="47">
        <f>K5*1.03</f>
        <v>151.35368932419243</v>
      </c>
      <c r="M5" s="3"/>
      <c r="N5" s="30" t="s">
        <v>24</v>
      </c>
      <c r="O5" s="31">
        <v>50</v>
      </c>
      <c r="P5" s="32">
        <f>O3+O4+O5</f>
        <v>350</v>
      </c>
      <c r="R5" s="4" t="s">
        <v>28</v>
      </c>
      <c r="S5" s="29">
        <f>SUM(1040/12)*4.25</f>
        <v>368.33333333333337</v>
      </c>
    </row>
    <row r="6" spans="1:19" ht="15.7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R6" s="4" t="s">
        <v>19</v>
      </c>
      <c r="S6" s="29">
        <f>SUM(1040/12)*3.5</f>
        <v>303.33333333333337</v>
      </c>
    </row>
    <row r="7" spans="1:15" ht="15" thickBot="1">
      <c r="A7" s="15"/>
      <c r="B7" s="55"/>
      <c r="C7" s="55"/>
      <c r="D7" s="55"/>
      <c r="E7" s="55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4" ht="12" customHeight="1" thickBot="1">
      <c r="A8" s="16" t="s">
        <v>2</v>
      </c>
      <c r="B8" s="17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9" t="s">
        <v>14</v>
      </c>
      <c r="N8" s="3"/>
    </row>
    <row r="9" spans="1:14" ht="16.5" hidden="1" thickBot="1">
      <c r="A9" s="26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"/>
    </row>
    <row r="10" spans="1:14" ht="15" hidden="1" thickBot="1">
      <c r="A10" s="21" t="s">
        <v>15</v>
      </c>
      <c r="B10" s="38" t="e">
        <f>8*#REF!+4*C4</f>
        <v>#REF!</v>
      </c>
      <c r="C10" s="36" t="e">
        <f>7*#REF!+5*C4</f>
        <v>#REF!</v>
      </c>
      <c r="D10" s="36" t="e">
        <f>6*#REF!+6*C4</f>
        <v>#REF!</v>
      </c>
      <c r="E10" s="36" t="e">
        <f>5*#REF!+7*C4</f>
        <v>#REF!</v>
      </c>
      <c r="F10" s="36" t="e">
        <f>4*#REF!+8*C4</f>
        <v>#REF!</v>
      </c>
      <c r="G10" s="36" t="e">
        <f>3*#REF!+9*C4</f>
        <v>#REF!</v>
      </c>
      <c r="H10" s="36" t="e">
        <f>2*#REF!+10*C4</f>
        <v>#REF!</v>
      </c>
      <c r="I10" s="36" t="e">
        <f>1*#REF!+11*C4</f>
        <v>#REF!</v>
      </c>
      <c r="J10" s="22" t="e">
        <f>12*#REF!</f>
        <v>#REF!</v>
      </c>
      <c r="K10" s="22" t="e">
        <f>11*#REF!+1*C4</f>
        <v>#REF!</v>
      </c>
      <c r="L10" s="22" t="e">
        <f>10*#REF!+2*C4</f>
        <v>#REF!</v>
      </c>
      <c r="M10" s="22" t="e">
        <f>9*#REF!+3*C4</f>
        <v>#REF!</v>
      </c>
      <c r="N10" s="3"/>
    </row>
    <row r="11" spans="1:14" ht="15.75" customHeight="1" hidden="1" thickBot="1">
      <c r="A11" s="23" t="s">
        <v>16</v>
      </c>
      <c r="B11" s="37" t="e">
        <f>8*#REF!+4*C5</f>
        <v>#REF!</v>
      </c>
      <c r="C11" s="37" t="e">
        <f>7*#REF!+5*C5</f>
        <v>#REF!</v>
      </c>
      <c r="D11" s="37" t="e">
        <f>6*#REF!+6*C5</f>
        <v>#REF!</v>
      </c>
      <c r="E11" s="37" t="e">
        <f>5*#REF!+7*C5</f>
        <v>#REF!</v>
      </c>
      <c r="F11" s="37" t="e">
        <f>4*#REF!+8*C5</f>
        <v>#REF!</v>
      </c>
      <c r="G11" s="37" t="e">
        <f>3*#REF!+9*C5</f>
        <v>#REF!</v>
      </c>
      <c r="H11" s="37" t="e">
        <f>2*#REF!+10*C5</f>
        <v>#REF!</v>
      </c>
      <c r="I11" s="37" t="e">
        <f>1*#REF!+11*C5</f>
        <v>#REF!</v>
      </c>
      <c r="J11" s="24" t="e">
        <f>12*#REF!</f>
        <v>#REF!</v>
      </c>
      <c r="K11" s="24" t="e">
        <f>11*#REF!+1*C5</f>
        <v>#REF!</v>
      </c>
      <c r="L11" s="24" t="e">
        <f>10*#REF!+2*C5</f>
        <v>#REF!</v>
      </c>
      <c r="M11" s="24" t="e">
        <f>9*#REF!+3*C5</f>
        <v>#REF!</v>
      </c>
      <c r="N11" s="25"/>
    </row>
    <row r="12" spans="1:14" ht="18.75" customHeight="1" hidden="1" thickBot="1">
      <c r="A12" s="26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"/>
    </row>
    <row r="13" spans="1:14" ht="11.25" customHeight="1" hidden="1" thickBot="1">
      <c r="A13" s="21" t="s">
        <v>15</v>
      </c>
      <c r="B13" s="48" t="e">
        <f>8*#REF!+4*C4</f>
        <v>#REF!</v>
      </c>
      <c r="C13" s="48" t="e">
        <f>7*#REF!+5*C4</f>
        <v>#REF!</v>
      </c>
      <c r="D13" s="48" t="e">
        <f>6*#REF!+6*C4</f>
        <v>#REF!</v>
      </c>
      <c r="E13" s="48" t="e">
        <f>5*#REF!+7*C4</f>
        <v>#REF!</v>
      </c>
      <c r="F13" s="48" t="e">
        <f>4*#REF!+8*C4</f>
        <v>#REF!</v>
      </c>
      <c r="G13" s="48" t="e">
        <f>3*#REF!+9*C4</f>
        <v>#REF!</v>
      </c>
      <c r="H13" s="48" t="e">
        <f>2*#REF!+10*C4</f>
        <v>#REF!</v>
      </c>
      <c r="I13" s="48" t="e">
        <f>1*#REF!+11*C4</f>
        <v>#REF!</v>
      </c>
      <c r="J13" s="50">
        <f>12*C4</f>
        <v>16587</v>
      </c>
      <c r="K13" s="22">
        <f>11*C4+1*D4</f>
        <v>16628.4675</v>
      </c>
      <c r="L13" s="22">
        <f>10*C4+2*D4</f>
        <v>16669.935</v>
      </c>
      <c r="M13" s="22">
        <f>9*C4+3*D4</f>
        <v>16711.4025</v>
      </c>
      <c r="N13" s="3"/>
    </row>
    <row r="14" spans="1:14" ht="16.5" customHeight="1" hidden="1" thickBot="1">
      <c r="A14" s="23" t="s">
        <v>16</v>
      </c>
      <c r="B14" s="49" t="e">
        <f>8*#REF!+4*C5</f>
        <v>#REF!</v>
      </c>
      <c r="C14" s="49" t="e">
        <f>7*#REF!+5*C5</f>
        <v>#REF!</v>
      </c>
      <c r="D14" s="49" t="e">
        <f>6*#REF!+6*C5</f>
        <v>#REF!</v>
      </c>
      <c r="E14" s="49" t="e">
        <f>5*#REF!+7*C5</f>
        <v>#REF!</v>
      </c>
      <c r="F14" s="49" t="e">
        <f>4*#REF!+8*C5</f>
        <v>#REF!</v>
      </c>
      <c r="G14" s="49" t="e">
        <f>3*#REF!+9*C5</f>
        <v>#REF!</v>
      </c>
      <c r="H14" s="49" t="e">
        <f>2*#REF!+10*C5</f>
        <v>#REF!</v>
      </c>
      <c r="I14" s="49" t="e">
        <f>1*#REF!+11*C5</f>
        <v>#REF!</v>
      </c>
      <c r="J14" s="51">
        <f>12*C5</f>
        <v>1392</v>
      </c>
      <c r="K14" s="52">
        <f>11*C5+1*D5</f>
        <v>1395.48</v>
      </c>
      <c r="L14" s="24">
        <f>10*C5+2*D5</f>
        <v>1398.96</v>
      </c>
      <c r="M14" s="24">
        <f>9*C5+3*D5</f>
        <v>1402.44</v>
      </c>
      <c r="N14" s="25"/>
    </row>
    <row r="15" spans="1:20" ht="18" customHeight="1" thickBot="1">
      <c r="A15" s="40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"/>
      <c r="R15" s="58"/>
      <c r="S15" s="59" t="s">
        <v>31</v>
      </c>
      <c r="T15" s="60"/>
    </row>
    <row r="16" spans="1:19" ht="15.75" customHeight="1">
      <c r="A16" s="21" t="s">
        <v>15</v>
      </c>
      <c r="B16" s="48">
        <f>8*C4+4*D4</f>
        <v>16752.87</v>
      </c>
      <c r="C16" s="48">
        <f>7*C4+5*D4</f>
        <v>16794.3375</v>
      </c>
      <c r="D16" s="48">
        <f>6*C4+6*D4</f>
        <v>16835.805</v>
      </c>
      <c r="E16" s="48">
        <f>5*C4+7*D4</f>
        <v>16877.2725</v>
      </c>
      <c r="F16" s="48">
        <f>4*C4+8*D4</f>
        <v>16918.739999999998</v>
      </c>
      <c r="G16" s="48">
        <f>3*C4+9*D4</f>
        <v>16960.2075</v>
      </c>
      <c r="H16" s="48">
        <f>2*C4+10*D4</f>
        <v>17001.675</v>
      </c>
      <c r="I16" s="48">
        <f>1*C4+11*D4</f>
        <v>17043.1425</v>
      </c>
      <c r="J16" s="22">
        <f>12*C4</f>
        <v>16587</v>
      </c>
      <c r="K16" s="33">
        <f>11*C4+1*D4</f>
        <v>16628.4675</v>
      </c>
      <c r="L16" s="22">
        <f>10*C4+2*D4</f>
        <v>16669.935</v>
      </c>
      <c r="M16" s="22">
        <f>9*C4+3*D4</f>
        <v>16711.4025</v>
      </c>
      <c r="N16" s="3"/>
      <c r="R16" s="4" t="s">
        <v>18</v>
      </c>
      <c r="S16" s="4">
        <f>1040/2</f>
        <v>520</v>
      </c>
    </row>
    <row r="17" spans="1:19" ht="19.5" customHeight="1" thickBot="1">
      <c r="A17" s="23" t="s">
        <v>16</v>
      </c>
      <c r="B17" s="49">
        <f>8*C5+4*D5</f>
        <v>1405.92</v>
      </c>
      <c r="C17" s="49">
        <f>7*C5+5*D5</f>
        <v>1409.4</v>
      </c>
      <c r="D17" s="49">
        <f>6*C5+6*D5</f>
        <v>1412.88</v>
      </c>
      <c r="E17" s="49">
        <f>5*C5+7*D5</f>
        <v>1416.3600000000001</v>
      </c>
      <c r="F17" s="49">
        <f>4*C5+8*D5</f>
        <v>1419.8400000000001</v>
      </c>
      <c r="G17" s="49">
        <f>3*C5+9*D5</f>
        <v>1423.32</v>
      </c>
      <c r="H17" s="49">
        <f>2*C5+10*D5</f>
        <v>1426.8</v>
      </c>
      <c r="I17" s="49">
        <f>1*C5+11*D5</f>
        <v>1430.28</v>
      </c>
      <c r="J17" s="24">
        <f>12*C5</f>
        <v>1392</v>
      </c>
      <c r="K17" s="34">
        <f>11*C5+1*D5</f>
        <v>1395.48</v>
      </c>
      <c r="L17" s="24">
        <f>10*C5+2*D5</f>
        <v>1398.96</v>
      </c>
      <c r="M17" s="24">
        <f>9*C5+3*D5</f>
        <v>1402.44</v>
      </c>
      <c r="N17" s="53"/>
      <c r="R17" s="4" t="s">
        <v>28</v>
      </c>
      <c r="S17" s="29">
        <f>368/2</f>
        <v>184</v>
      </c>
    </row>
    <row r="18" spans="1:19" ht="19.5" customHeight="1" thickBot="1">
      <c r="A18" s="41">
        <v>2024</v>
      </c>
      <c r="B18" s="20"/>
      <c r="C18" s="20"/>
      <c r="D18" s="20"/>
      <c r="E18" s="20"/>
      <c r="F18" s="20"/>
      <c r="G18" s="20"/>
      <c r="H18" s="20"/>
      <c r="I18" s="20"/>
      <c r="J18" s="20"/>
      <c r="K18" s="35"/>
      <c r="L18" s="27"/>
      <c r="M18" s="27"/>
      <c r="N18" s="3"/>
      <c r="R18" s="4" t="s">
        <v>19</v>
      </c>
      <c r="S18" s="29">
        <f>303/2</f>
        <v>151.5</v>
      </c>
    </row>
    <row r="19" spans="1:14" ht="16.5" customHeight="1">
      <c r="A19" s="21" t="s">
        <v>15</v>
      </c>
      <c r="B19" s="33">
        <f>8*C4+4*D4</f>
        <v>16752.87</v>
      </c>
      <c r="C19" s="22">
        <f>7*C4+5*D4</f>
        <v>16794.3375</v>
      </c>
      <c r="D19" s="22">
        <f>6*C4+6*D4</f>
        <v>16835.805</v>
      </c>
      <c r="E19" s="22">
        <f>5*C4+7*D4</f>
        <v>16877.2725</v>
      </c>
      <c r="F19" s="22">
        <f>4*C4+8*D4</f>
        <v>16918.739999999998</v>
      </c>
      <c r="G19" s="22">
        <f>3*C4+9*D4</f>
        <v>16960.2075</v>
      </c>
      <c r="H19" s="22">
        <f>2*C4+10*D4</f>
        <v>17001.675</v>
      </c>
      <c r="I19" s="22">
        <f>1*C4+11*D4</f>
        <v>17043.1425</v>
      </c>
      <c r="J19" s="22">
        <f>12*D4</f>
        <v>17084.61</v>
      </c>
      <c r="K19" s="33">
        <f>11*D4+1*E4</f>
        <v>17127.321525</v>
      </c>
      <c r="L19" s="22">
        <f>10*D4+2*E4</f>
        <v>17170.03305</v>
      </c>
      <c r="M19" s="22">
        <f>9*D4+3*E4</f>
        <v>17212.744575</v>
      </c>
      <c r="N19" s="3"/>
    </row>
    <row r="20" spans="1:14" ht="20.25" customHeight="1" thickBot="1">
      <c r="A20" s="23" t="s">
        <v>16</v>
      </c>
      <c r="B20" s="34">
        <f>8*C5+4*D5</f>
        <v>1405.92</v>
      </c>
      <c r="C20" s="24">
        <f>7*C5+5*D5</f>
        <v>1409.4</v>
      </c>
      <c r="D20" s="24">
        <f>6*C5+6*D5</f>
        <v>1412.88</v>
      </c>
      <c r="E20" s="24">
        <f>5*C5+7*D5</f>
        <v>1416.3600000000001</v>
      </c>
      <c r="F20" s="24">
        <f>4*C5+8*D5</f>
        <v>1419.8400000000001</v>
      </c>
      <c r="G20" s="24">
        <f>3*C5+9*D5</f>
        <v>1423.32</v>
      </c>
      <c r="H20" s="24">
        <f>2*C5+10*D5</f>
        <v>1426.8</v>
      </c>
      <c r="I20" s="24">
        <f>1*C5+11*D5</f>
        <v>1430.28</v>
      </c>
      <c r="J20" s="24">
        <f>12*D5</f>
        <v>1433.76</v>
      </c>
      <c r="K20" s="34">
        <f>11*D5+1*E5</f>
        <v>1437.3444</v>
      </c>
      <c r="L20" s="24">
        <f>10*D5+2*E5</f>
        <v>1440.9288</v>
      </c>
      <c r="M20" s="24">
        <f>9*D5+3*E5</f>
        <v>1444.5131999999999</v>
      </c>
      <c r="N20" s="53"/>
    </row>
    <row r="21" spans="1:14" ht="19.5" customHeight="1" thickBot="1">
      <c r="A21" s="41">
        <v>2025</v>
      </c>
      <c r="B21" s="20"/>
      <c r="C21" s="20"/>
      <c r="D21" s="20"/>
      <c r="E21" s="20"/>
      <c r="F21" s="20"/>
      <c r="G21" s="20"/>
      <c r="H21" s="20"/>
      <c r="I21" s="20"/>
      <c r="J21" s="20"/>
      <c r="K21" s="35"/>
      <c r="L21" s="27"/>
      <c r="M21" s="27"/>
      <c r="N21" s="54"/>
    </row>
    <row r="22" spans="1:14" ht="16.5" customHeight="1">
      <c r="A22" s="21" t="s">
        <v>15</v>
      </c>
      <c r="B22" s="22">
        <f>8*D4+4*E4</f>
        <v>17255.4561</v>
      </c>
      <c r="C22" s="22">
        <f>7*D4+5*E4</f>
        <v>17298.167625</v>
      </c>
      <c r="D22" s="22">
        <f>6*D4+6*E4</f>
        <v>17340.87915</v>
      </c>
      <c r="E22" s="22">
        <f>5*D4+7*E4</f>
        <v>17383.590675</v>
      </c>
      <c r="F22" s="22">
        <f>4*D4+8*E4</f>
        <v>17426.3022</v>
      </c>
      <c r="G22" s="22">
        <f>3*D4+9*E4</f>
        <v>17469.013724999997</v>
      </c>
      <c r="H22" s="22">
        <f>2*D4+10*E4</f>
        <v>17511.72525</v>
      </c>
      <c r="I22" s="22">
        <f>1*D4+11*E4</f>
        <v>17554.436775</v>
      </c>
      <c r="J22" s="22">
        <f>12*E4</f>
        <v>17597.1483</v>
      </c>
      <c r="K22" s="33">
        <f>11*E4+1*F4</f>
        <v>17641.14117075</v>
      </c>
      <c r="L22" s="22">
        <f>10*E4+2*F4</f>
        <v>17685.134041499998</v>
      </c>
      <c r="M22" s="22">
        <f>9*E4+3*F4</f>
        <v>17729.126912249998</v>
      </c>
      <c r="N22" s="54"/>
    </row>
    <row r="23" spans="1:14" ht="19.5" customHeight="1" thickBot="1">
      <c r="A23" s="23" t="s">
        <v>16</v>
      </c>
      <c r="B23" s="24">
        <f>8*D5+4*E5</f>
        <v>1448.0976</v>
      </c>
      <c r="C23" s="24">
        <f>7*D5+5*E5</f>
        <v>1451.682</v>
      </c>
      <c r="D23" s="24">
        <f>6*D5+6*E5</f>
        <v>1455.2664</v>
      </c>
      <c r="E23" s="24">
        <f>5*D5+7*E5</f>
        <v>1458.8508000000002</v>
      </c>
      <c r="F23" s="24">
        <f>4*D5+8*E5</f>
        <v>1462.4352000000001</v>
      </c>
      <c r="G23" s="24">
        <f>3*D5+9*E5</f>
        <v>1466.0196</v>
      </c>
      <c r="H23" s="24">
        <f>2*D5+10*E5</f>
        <v>1469.604</v>
      </c>
      <c r="I23" s="24">
        <f>1*D5+11*E5</f>
        <v>1473.1884</v>
      </c>
      <c r="J23" s="24">
        <f>12*E5</f>
        <v>1476.7728000000002</v>
      </c>
      <c r="K23" s="34">
        <f>11*E5+1*F5</f>
        <v>1480.464732</v>
      </c>
      <c r="L23" s="24">
        <f>10*E5+2*F5</f>
        <v>1484.156664</v>
      </c>
      <c r="M23" s="24">
        <f>9*E5+3*F5</f>
        <v>1487.848596</v>
      </c>
      <c r="N23" s="53"/>
    </row>
    <row r="24" spans="1:14" ht="16.5" thickBot="1">
      <c r="A24" s="41">
        <v>2026</v>
      </c>
      <c r="B24" s="20"/>
      <c r="C24" s="20"/>
      <c r="D24" s="20"/>
      <c r="E24" s="20"/>
      <c r="F24" s="20"/>
      <c r="G24" s="20"/>
      <c r="H24" s="20"/>
      <c r="I24" s="20"/>
      <c r="J24" s="20"/>
      <c r="K24" s="27"/>
      <c r="L24" s="27"/>
      <c r="M24" s="27"/>
      <c r="N24" s="3"/>
    </row>
    <row r="25" spans="1:14" ht="15.75" customHeight="1">
      <c r="A25" s="21" t="s">
        <v>15</v>
      </c>
      <c r="B25" s="22">
        <f>8*E4+4*F4</f>
        <v>17773.119783</v>
      </c>
      <c r="C25" s="22">
        <f>7*E4+5*F4</f>
        <v>17817.11265375</v>
      </c>
      <c r="D25" s="22">
        <f>6*E4+6*F4</f>
        <v>17861.105524500003</v>
      </c>
      <c r="E25" s="22">
        <f>5*E4+7*F4</f>
        <v>17905.09839525</v>
      </c>
      <c r="F25" s="22">
        <f>4*E4+8*F4</f>
        <v>17949.091266</v>
      </c>
      <c r="G25" s="22">
        <f>3*E4+9*F4</f>
        <v>17993.08413675</v>
      </c>
      <c r="H25" s="22">
        <f>2*E4+10*F4</f>
        <v>18037.0770075</v>
      </c>
      <c r="I25" s="22">
        <f>1*E4+11*F4</f>
        <v>18081.06987825</v>
      </c>
      <c r="J25" s="22">
        <f>12*F4</f>
        <v>18125.062749</v>
      </c>
      <c r="K25" s="33">
        <f>11*F4+1*G4</f>
        <v>18170.3754058725</v>
      </c>
      <c r="L25" s="33">
        <f>10*F4+2*G4</f>
        <v>18215.688062745</v>
      </c>
      <c r="M25" s="33">
        <f>9*F4+3*G4</f>
        <v>18261.0007196175</v>
      </c>
      <c r="N25" s="3"/>
    </row>
    <row r="26" spans="1:14" ht="15.75" customHeight="1" thickBot="1">
      <c r="A26" s="23" t="s">
        <v>16</v>
      </c>
      <c r="B26" s="24">
        <f>8*E5+4*F5</f>
        <v>1491.540528</v>
      </c>
      <c r="C26" s="24">
        <f>7*E5+5*F5</f>
        <v>1495.2324600000002</v>
      </c>
      <c r="D26" s="24">
        <f>6*E5+6*F5</f>
        <v>1498.9243920000001</v>
      </c>
      <c r="E26" s="24">
        <f>5*E5+7*F5</f>
        <v>1502.616324</v>
      </c>
      <c r="F26" s="24">
        <f>4*E5+8*F5</f>
        <v>1506.3082560000003</v>
      </c>
      <c r="G26" s="24">
        <f>3*E5+9*F5</f>
        <v>1510.000188</v>
      </c>
      <c r="H26" s="24">
        <f>2*E5+10*F5</f>
        <v>1513.6921200000002</v>
      </c>
      <c r="I26" s="24">
        <f>1*E5+11*F5</f>
        <v>1517.384052</v>
      </c>
      <c r="J26" s="24">
        <f>12*F5</f>
        <v>1521.075984</v>
      </c>
      <c r="K26" s="34">
        <f>11*F5+1*G5</f>
        <v>1524.8786739600002</v>
      </c>
      <c r="L26" s="34">
        <f>10*F5+2*G5</f>
        <v>1528.6813639200002</v>
      </c>
      <c r="M26" s="34">
        <f>9*F5+3*G5</f>
        <v>1532.4840538800001</v>
      </c>
      <c r="N26" s="25"/>
    </row>
    <row r="27" spans="1:14" ht="17.25" customHeight="1" thickBot="1">
      <c r="A27" s="41">
        <v>2027</v>
      </c>
      <c r="B27" s="20"/>
      <c r="C27" s="20"/>
      <c r="D27" s="20"/>
      <c r="E27" s="20"/>
      <c r="F27" s="20"/>
      <c r="G27" s="20"/>
      <c r="H27" s="20"/>
      <c r="I27" s="20"/>
      <c r="J27" s="20"/>
      <c r="K27" s="35"/>
      <c r="L27" s="35"/>
      <c r="M27" s="35"/>
      <c r="N27" s="3"/>
    </row>
    <row r="28" spans="1:14" ht="13.5" customHeight="1">
      <c r="A28" s="21" t="s">
        <v>15</v>
      </c>
      <c r="B28" s="33">
        <f>8*F4+4*G4</f>
        <v>18306.313376489998</v>
      </c>
      <c r="C28" s="33">
        <f>7*F4+5*G4</f>
        <v>18351.6260333625</v>
      </c>
      <c r="D28" s="33">
        <f>6*F4+6*G4</f>
        <v>18396.938690235</v>
      </c>
      <c r="E28" s="33">
        <f>5*F4+7*G4</f>
        <v>18442.2513471075</v>
      </c>
      <c r="F28" s="33">
        <f>4*F4+8*G4</f>
        <v>18487.56400398</v>
      </c>
      <c r="G28" s="33">
        <f>3*F4+9*G4</f>
        <v>18532.8766608525</v>
      </c>
      <c r="H28" s="33">
        <f>2*F4+10*G4</f>
        <v>18578.189317725</v>
      </c>
      <c r="I28" s="33">
        <f>1*F4+11*G4</f>
        <v>18623.5019745975</v>
      </c>
      <c r="J28" s="33">
        <f>12*G4</f>
        <v>18668.81463147</v>
      </c>
      <c r="K28" s="33">
        <f>11*G4+1*H4</f>
        <v>18715.486668048674</v>
      </c>
      <c r="L28" s="33">
        <f>10*G4+2*H4</f>
        <v>18762.15870462735</v>
      </c>
      <c r="M28" s="33">
        <f>9*G4+3*H4</f>
        <v>18808.830741206024</v>
      </c>
      <c r="N28" s="3"/>
    </row>
    <row r="29" spans="1:14" ht="15" thickBot="1">
      <c r="A29" s="23" t="s">
        <v>16</v>
      </c>
      <c r="B29" s="34">
        <f>8*F5+4*G5</f>
        <v>1536.2867438400003</v>
      </c>
      <c r="C29" s="34">
        <f>7*F5+5*G5</f>
        <v>1540.0894338000003</v>
      </c>
      <c r="D29" s="34">
        <f>6*F5+6*G5</f>
        <v>1543.8921237600002</v>
      </c>
      <c r="E29" s="34">
        <f>5*F5+7*G5</f>
        <v>1547.6948137200002</v>
      </c>
      <c r="F29" s="34">
        <f>4*F5+8*G5</f>
        <v>1551.4975036800001</v>
      </c>
      <c r="G29" s="34">
        <f>3*F5+9*G5</f>
        <v>1555.3001936400003</v>
      </c>
      <c r="H29" s="34">
        <f>2*F5+10*G5</f>
        <v>1559.1028836000003</v>
      </c>
      <c r="I29" s="34">
        <f>1*F5+11*G5</f>
        <v>1562.9055735600002</v>
      </c>
      <c r="J29" s="34">
        <f>12*G5</f>
        <v>1566.7082635200004</v>
      </c>
      <c r="K29" s="34">
        <f>11*G5+1*H5</f>
        <v>1570.6250341788004</v>
      </c>
      <c r="L29" s="34">
        <f>10*G5+2*H5</f>
        <v>1574.5418048376002</v>
      </c>
      <c r="M29" s="34">
        <f>9*G5+3*H5</f>
        <v>1578.4585754964005</v>
      </c>
      <c r="N29" s="3"/>
    </row>
    <row r="30" spans="1:14" ht="16.5" thickBot="1">
      <c r="A30" s="41">
        <v>2028</v>
      </c>
      <c r="B30" s="20"/>
      <c r="C30" s="20"/>
      <c r="D30" s="20"/>
      <c r="E30" s="20"/>
      <c r="F30" s="20"/>
      <c r="G30" s="20"/>
      <c r="H30" s="20"/>
      <c r="I30" s="20"/>
      <c r="J30" s="20"/>
      <c r="K30" s="35"/>
      <c r="L30" s="35"/>
      <c r="M30" s="35"/>
      <c r="N30" s="3"/>
    </row>
    <row r="31" spans="1:14" ht="14.25">
      <c r="A31" s="21" t="s">
        <v>15</v>
      </c>
      <c r="B31" s="33">
        <f>G4*8+H4*4</f>
        <v>18855.5027777847</v>
      </c>
      <c r="C31" s="22">
        <f>G4*7+H4*5</f>
        <v>18902.174814363374</v>
      </c>
      <c r="D31" s="22">
        <f>6*G4+6*H4</f>
        <v>18948.84685094205</v>
      </c>
      <c r="E31" s="22">
        <f>5*G4+7*H4</f>
        <v>18995.518887520724</v>
      </c>
      <c r="F31" s="22">
        <f>4*G4+8*H4</f>
        <v>19042.1909240994</v>
      </c>
      <c r="G31" s="22">
        <f>3*G4+9*H4</f>
        <v>19088.862960678074</v>
      </c>
      <c r="H31" s="22">
        <f>2*G4+10*H4</f>
        <v>19135.53499725675</v>
      </c>
      <c r="I31" s="22">
        <f>1*G4+11*H4</f>
        <v>19182.207033835424</v>
      </c>
      <c r="J31" s="22">
        <f>12*H4</f>
        <v>19228.8790704141</v>
      </c>
      <c r="K31" s="33">
        <f>H4*11+I4*1</f>
        <v>19276.951268090135</v>
      </c>
      <c r="L31" s="33">
        <f>I4*10+J4*2</f>
        <v>19904.774169739154</v>
      </c>
      <c r="M31" s="33">
        <f>H4*9+I4*3</f>
        <v>19373.095663442204</v>
      </c>
      <c r="N31" s="3"/>
    </row>
    <row r="32" spans="1:14" ht="15" thickBot="1">
      <c r="A32" s="23" t="s">
        <v>16</v>
      </c>
      <c r="B32" s="34">
        <f>G5*8+H5*4</f>
        <v>1582.3753461552003</v>
      </c>
      <c r="C32" s="24">
        <f>G5*7+H5*5</f>
        <v>1586.2921168140003</v>
      </c>
      <c r="D32" s="24">
        <f>6*G5+6*H5</f>
        <v>1590.2088874728004</v>
      </c>
      <c r="E32" s="24">
        <f>5*G5+7*H5</f>
        <v>1594.1256581316002</v>
      </c>
      <c r="F32" s="24">
        <f>4*G5+8*H5</f>
        <v>1598.0424287904002</v>
      </c>
      <c r="G32" s="24">
        <f>3*G5+9*H5</f>
        <v>1601.9591994492002</v>
      </c>
      <c r="H32" s="24">
        <f>2*G5+10*H5</f>
        <v>1605.8759701080003</v>
      </c>
      <c r="I32" s="24">
        <f>1*G5+11*H5</f>
        <v>1609.7927407668005</v>
      </c>
      <c r="J32" s="24">
        <f>12*H5</f>
        <v>1613.7095114256003</v>
      </c>
      <c r="K32" s="34">
        <f>H5*11+I5*1</f>
        <v>1617.7437852041644</v>
      </c>
      <c r="L32" s="34">
        <f>H5*10+I5*2</f>
        <v>1621.7780589827285</v>
      </c>
      <c r="M32" s="34">
        <f>H5*9+I5*3</f>
        <v>1625.8123327612923</v>
      </c>
      <c r="N32" s="3"/>
    </row>
    <row r="33" spans="1:13" ht="16.5" thickBot="1">
      <c r="A33" s="41">
        <v>2029</v>
      </c>
      <c r="B33" s="20"/>
      <c r="C33" s="20"/>
      <c r="D33" s="20"/>
      <c r="E33" s="20"/>
      <c r="F33" s="20"/>
      <c r="G33" s="20"/>
      <c r="H33" s="20"/>
      <c r="I33" s="20"/>
      <c r="J33" s="20"/>
      <c r="K33" s="35"/>
      <c r="L33" s="35"/>
      <c r="M33" s="35"/>
    </row>
    <row r="34" spans="1:13" ht="14.25">
      <c r="A34" s="21" t="s">
        <v>15</v>
      </c>
      <c r="B34" s="22">
        <f>H4*8+I4*4</f>
        <v>19421.16786111824</v>
      </c>
      <c r="C34" s="22">
        <f>H4*7+I4*5</f>
        <v>19469.240058794276</v>
      </c>
      <c r="D34" s="22">
        <f>H4*6+I4*6</f>
        <v>19517.31225647031</v>
      </c>
      <c r="E34" s="22">
        <f>H4*5+I4*7</f>
        <v>19565.384454146348</v>
      </c>
      <c r="F34" s="22">
        <f>H4*4+I4*8</f>
        <v>19613.45665182238</v>
      </c>
      <c r="G34" s="22">
        <f>H4*3+I4*9</f>
        <v>19661.52884949842</v>
      </c>
      <c r="H34" s="22">
        <f>H4*2+I4*10</f>
        <v>19709.601047174452</v>
      </c>
      <c r="I34" s="22">
        <f>H4*1+I4*11</f>
        <v>19757.673244850488</v>
      </c>
      <c r="J34" s="22">
        <f>I4*12</f>
        <v>19805.745442526524</v>
      </c>
      <c r="K34" s="33">
        <f>I4*11+1*J4</f>
        <v>19855.25980613284</v>
      </c>
      <c r="L34" s="33">
        <f>I4*10+2*J4</f>
        <v>19904.774169739154</v>
      </c>
      <c r="M34" s="33">
        <f>I4*9+3*J4</f>
        <v>19954.288533345472</v>
      </c>
    </row>
    <row r="35" spans="1:13" ht="15" thickBot="1">
      <c r="A35" s="23" t="s">
        <v>16</v>
      </c>
      <c r="B35" s="24">
        <f>H5*8+I5*4</f>
        <v>1629.8466065398563</v>
      </c>
      <c r="C35" s="24">
        <f>H5*7+I5*5</f>
        <v>1633.8808803184202</v>
      </c>
      <c r="D35" s="24">
        <f>H5*6+I5*6</f>
        <v>1637.9151540969842</v>
      </c>
      <c r="E35" s="24">
        <f>H5*5+I5*7</f>
        <v>1641.9494278755483</v>
      </c>
      <c r="F35" s="24">
        <f>H5*4+I5*8</f>
        <v>1645.9837016541123</v>
      </c>
      <c r="G35" s="24">
        <f>H5*3+I5*9</f>
        <v>1650.0179754326764</v>
      </c>
      <c r="H35" s="24">
        <f>H5*2+I5*10</f>
        <v>1654.0522492112402</v>
      </c>
      <c r="I35" s="24">
        <f>H5*1+I5*11</f>
        <v>1658.0865229898045</v>
      </c>
      <c r="J35" s="24">
        <f>I5*12</f>
        <v>1662.1207967683683</v>
      </c>
      <c r="K35" s="34">
        <f>I5*11+1*J5</f>
        <v>1666.2760987602894</v>
      </c>
      <c r="L35" s="34">
        <f>I5*10+2*J5</f>
        <v>1670.43140075221</v>
      </c>
      <c r="M35" s="34">
        <f>I5*9+3*J5</f>
        <v>1674.5867027441311</v>
      </c>
    </row>
    <row r="36" spans="1:14" ht="16.5" thickBot="1">
      <c r="A36" s="41">
        <v>2030</v>
      </c>
      <c r="B36" s="20"/>
      <c r="C36" s="20"/>
      <c r="D36" s="20"/>
      <c r="E36" s="20"/>
      <c r="F36" s="20"/>
      <c r="G36" s="20"/>
      <c r="H36" s="20"/>
      <c r="I36" s="20"/>
      <c r="J36" s="20"/>
      <c r="K36" s="35"/>
      <c r="L36" s="35"/>
      <c r="M36" s="35"/>
      <c r="N36" s="39"/>
    </row>
    <row r="37" spans="1:14" ht="14.25">
      <c r="A37" s="21" t="s">
        <v>15</v>
      </c>
      <c r="B37" s="22">
        <f>I4*8+J4*4</f>
        <v>20003.80289695179</v>
      </c>
      <c r="C37" s="22">
        <f>I4*7+5*J4</f>
        <v>20053.317260558106</v>
      </c>
      <c r="D37" s="22">
        <f>I4*6+6*J4</f>
        <v>20102.83162416442</v>
      </c>
      <c r="E37" s="22">
        <f>I4*5+7*J4</f>
        <v>20152.34598777074</v>
      </c>
      <c r="F37" s="22">
        <f>I4*4+8*J4</f>
        <v>20201.860351377054</v>
      </c>
      <c r="G37" s="22">
        <f>I4*3+9*J4</f>
        <v>20251.374714983373</v>
      </c>
      <c r="H37" s="22">
        <f>I4*2+10*J4</f>
        <v>20300.889078589687</v>
      </c>
      <c r="I37" s="22">
        <f>I4*1+11*J4</f>
        <v>20350.403442196006</v>
      </c>
      <c r="J37" s="22">
        <f>J4*12</f>
        <v>20399.91780580232</v>
      </c>
      <c r="K37" s="33">
        <f>11*J4+1*K4</f>
        <v>20450.91760031683</v>
      </c>
      <c r="L37" s="33">
        <f>10*J4+2*K4</f>
        <v>20501.91739483133</v>
      </c>
      <c r="M37" s="33">
        <f>9*J4+3*K4</f>
        <v>20552.917189345837</v>
      </c>
      <c r="N37" s="39"/>
    </row>
    <row r="38" spans="1:14" ht="15" thickBot="1">
      <c r="A38" s="23" t="s">
        <v>16</v>
      </c>
      <c r="B38" s="24">
        <f>I5*8+4*J5</f>
        <v>1678.742004736052</v>
      </c>
      <c r="C38" s="24">
        <f>I5*7+5*J5</f>
        <v>1682.897306727973</v>
      </c>
      <c r="D38" s="24">
        <f>I5*6+6*J5</f>
        <v>1687.0526087198941</v>
      </c>
      <c r="E38" s="24">
        <f>I5*5+7*J5</f>
        <v>1691.2079107118147</v>
      </c>
      <c r="F38" s="24">
        <f>I5*4+8*J5</f>
        <v>1695.3632127037358</v>
      </c>
      <c r="G38" s="24">
        <f>I5*3+9*J5</f>
        <v>1699.518514695657</v>
      </c>
      <c r="H38" s="24">
        <f>I5*2+10*J5</f>
        <v>1703.6738166875775</v>
      </c>
      <c r="I38" s="24">
        <f>I5*1+11*J5</f>
        <v>1707.8291186794986</v>
      </c>
      <c r="J38" s="24">
        <f>J5*12</f>
        <v>1711.9844206714197</v>
      </c>
      <c r="K38" s="34">
        <f>11*J5+1*K5</f>
        <v>1716.2643817230983</v>
      </c>
      <c r="L38" s="34">
        <f>10*J5+2*K5</f>
        <v>1720.5443427747766</v>
      </c>
      <c r="M38" s="34">
        <f>9*J5+3*K5</f>
        <v>1724.8243038264554</v>
      </c>
      <c r="N38" s="39"/>
    </row>
    <row r="39" spans="1:14" ht="16.5" thickBot="1">
      <c r="A39" s="41">
        <v>2031</v>
      </c>
      <c r="B39" s="20"/>
      <c r="C39" s="20"/>
      <c r="D39" s="20"/>
      <c r="E39" s="20"/>
      <c r="F39" s="20"/>
      <c r="G39" s="20"/>
      <c r="H39" s="20"/>
      <c r="I39" s="20"/>
      <c r="J39" s="20"/>
      <c r="K39" s="35"/>
      <c r="L39" s="35"/>
      <c r="M39" s="35"/>
      <c r="N39" s="39"/>
    </row>
    <row r="40" spans="1:14" ht="14.25">
      <c r="A40" s="21" t="s">
        <v>15</v>
      </c>
      <c r="B40" s="22">
        <f>J4*8+K4*4</f>
        <v>20603.916983860345</v>
      </c>
      <c r="C40" s="22">
        <f>J4*7+5*K4</f>
        <v>20654.91677837485</v>
      </c>
      <c r="D40" s="22">
        <f>J4*6+6*K4</f>
        <v>20705.916572889357</v>
      </c>
      <c r="E40" s="22">
        <f>J4*5+7*K4</f>
        <v>20756.91636740386</v>
      </c>
      <c r="F40" s="22">
        <f>J4*4+8*K4</f>
        <v>20807.916161918365</v>
      </c>
      <c r="G40" s="22">
        <f>J4*3+9*K4</f>
        <v>20858.915956432873</v>
      </c>
      <c r="H40" s="22">
        <f>J4*2+10*K4</f>
        <v>20909.91575094738</v>
      </c>
      <c r="I40" s="22">
        <f>J4*1+11*K4</f>
        <v>20960.915545461885</v>
      </c>
      <c r="J40" s="22">
        <f>K4*12</f>
        <v>21011.91533997639</v>
      </c>
      <c r="K40" s="33">
        <f>11*K4+1*L4</f>
        <v>21064.445128326333</v>
      </c>
      <c r="L40" s="33">
        <f>10*K4+2*L4</f>
        <v>21116.974916676274</v>
      </c>
      <c r="M40" s="33">
        <f>9*K4+3*L4</f>
        <v>21169.504705026215</v>
      </c>
      <c r="N40" s="39"/>
    </row>
    <row r="41" spans="1:14" ht="15" thickBot="1">
      <c r="A41" s="23" t="s">
        <v>16</v>
      </c>
      <c r="B41" s="24">
        <f>J5*8+4*K5</f>
        <v>1729.1042648781338</v>
      </c>
      <c r="C41" s="24">
        <f>J5*7+5*K5</f>
        <v>1733.3842259298124</v>
      </c>
      <c r="D41" s="24">
        <f>J5*6+6*K5</f>
        <v>1737.664186981491</v>
      </c>
      <c r="E41" s="24">
        <f>J5*5+7*K5</f>
        <v>1741.9441480331693</v>
      </c>
      <c r="F41" s="24">
        <f>J5*4+8*K5</f>
        <v>1746.224109084848</v>
      </c>
      <c r="G41" s="24">
        <f>J5*3+9*K5</f>
        <v>1750.5040701365267</v>
      </c>
      <c r="H41" s="24">
        <f>J5*2+10*K5</f>
        <v>1754.784031188205</v>
      </c>
      <c r="I41" s="24">
        <f>J5*1+11*K5</f>
        <v>1759.0639922398836</v>
      </c>
      <c r="J41" s="24">
        <f>K5*12</f>
        <v>1763.3439532915622</v>
      </c>
      <c r="K41" s="34">
        <f>11*K5+1*L5</f>
        <v>1767.752313174791</v>
      </c>
      <c r="L41" s="34">
        <f>10*K5+2*L5</f>
        <v>1772.1606730580202</v>
      </c>
      <c r="M41" s="34">
        <f>9*K5+3*L5</f>
        <v>1776.5690329412491</v>
      </c>
      <c r="N41" s="39"/>
    </row>
    <row r="42" spans="1:13" ht="16.5" thickBot="1">
      <c r="A42" s="41">
        <v>2032</v>
      </c>
      <c r="B42" s="20"/>
      <c r="C42" s="20"/>
      <c r="D42" s="20"/>
      <c r="E42" s="20"/>
      <c r="F42" s="20"/>
      <c r="G42" s="20"/>
      <c r="H42" s="20"/>
      <c r="I42" s="20"/>
      <c r="J42" s="20"/>
      <c r="K42" s="35"/>
      <c r="L42" s="35"/>
      <c r="M42" s="35"/>
    </row>
    <row r="43" spans="1:13" ht="14.25">
      <c r="A43" s="21" t="s">
        <v>15</v>
      </c>
      <c r="B43" s="22">
        <f>8*K4+4*L4</f>
        <v>21222.034493376155</v>
      </c>
      <c r="C43" s="22">
        <f>7*K4+5*L4</f>
        <v>21274.564281726096</v>
      </c>
      <c r="D43" s="22">
        <f>6*K4+6*L4</f>
        <v>21327.094070076037</v>
      </c>
      <c r="E43" s="22">
        <f>5*K4+7*L4</f>
        <v>21379.623858425977</v>
      </c>
      <c r="F43" s="22">
        <f>4*K4+8*L4</f>
        <v>21432.153646775918</v>
      </c>
      <c r="G43" s="22">
        <f>3*K4+9*L4</f>
        <v>21484.68343512586</v>
      </c>
      <c r="H43" s="22">
        <f>2*K4+10*L4</f>
        <v>21537.2132234758</v>
      </c>
      <c r="I43" s="22">
        <f>11*K4+1*L4</f>
        <v>21064.445128326333</v>
      </c>
      <c r="J43" s="22">
        <f>12*L4</f>
        <v>21642.272800175684</v>
      </c>
      <c r="K43" s="63"/>
      <c r="L43" s="63"/>
      <c r="M43" s="63"/>
    </row>
    <row r="44" spans="1:13" ht="14.25">
      <c r="A44" s="23" t="s">
        <v>16</v>
      </c>
      <c r="B44" s="24">
        <f>8*K5+4*L5</f>
        <v>1780.9773928244779</v>
      </c>
      <c r="C44" s="24">
        <f>7*K5+5*L5</f>
        <v>1785.3857527077066</v>
      </c>
      <c r="D44" s="24">
        <f>6*K5+6*L5</f>
        <v>1789.7941125909356</v>
      </c>
      <c r="E44" s="24">
        <f>5*K5+7*L5</f>
        <v>1794.2024724741646</v>
      </c>
      <c r="F44" s="24">
        <f>4*K5+8*L5</f>
        <v>1798.6108323573935</v>
      </c>
      <c r="G44" s="24">
        <f>3*K5+9*L5</f>
        <v>1803.0191922406225</v>
      </c>
      <c r="H44" s="24">
        <f>2*K5+10*L5</f>
        <v>1807.4275521238512</v>
      </c>
      <c r="I44" s="24">
        <f>11*K5+1*L5</f>
        <v>1767.752313174791</v>
      </c>
      <c r="J44" s="24">
        <f>12*L5</f>
        <v>1816.2442718903092</v>
      </c>
      <c r="K44" s="64"/>
      <c r="L44" s="64"/>
      <c r="M44" s="64"/>
    </row>
  </sheetData>
  <sheetProtection/>
  <mergeCells count="3">
    <mergeCell ref="B7:E7"/>
    <mergeCell ref="N1:P1"/>
    <mergeCell ref="P3:P4"/>
  </mergeCells>
  <printOptions/>
  <pageMargins left="0.25" right="0.25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Seaquist</dc:creator>
  <cp:keywords/>
  <dc:description/>
  <cp:lastModifiedBy>Kenya Cole</cp:lastModifiedBy>
  <cp:lastPrinted>2018-06-25T19:49:18Z</cp:lastPrinted>
  <dcterms:created xsi:type="dcterms:W3CDTF">2004-05-12T21:02:01Z</dcterms:created>
  <dcterms:modified xsi:type="dcterms:W3CDTF">2024-02-23T21:38:30Z</dcterms:modified>
  <cp:category/>
  <cp:version/>
  <cp:contentType/>
  <cp:contentStatus/>
</cp:coreProperties>
</file>